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le1mic\Desktop\"/>
    </mc:Choice>
  </mc:AlternateContent>
  <bookViews>
    <workbookView xWindow="0" yWindow="0" windowWidth="21795" windowHeight="10605"/>
  </bookViews>
  <sheets>
    <sheet name="Tool" sheetId="1" r:id="rId1"/>
    <sheet name="Data" sheetId="2" r:id="rId2"/>
  </sheets>
  <calcPr calcId="152511" concurrentCalc="0"/>
</workbook>
</file>

<file path=xl/calcChain.xml><?xml version="1.0" encoding="utf-8"?>
<calcChain xmlns="http://schemas.openxmlformats.org/spreadsheetml/2006/main">
  <c r="D19" i="1" l="1"/>
  <c r="C23" i="2"/>
  <c r="D30" i="2"/>
  <c r="C17" i="2"/>
  <c r="E30" i="2"/>
  <c r="C22" i="2"/>
  <c r="D29" i="2"/>
  <c r="C16" i="2"/>
  <c r="C21" i="2"/>
  <c r="E28" i="2"/>
  <c r="C15" i="2"/>
  <c r="B23" i="2"/>
  <c r="C30" i="2"/>
  <c r="B17" i="2"/>
  <c r="B30" i="2"/>
  <c r="B21" i="2"/>
  <c r="B28" i="2"/>
  <c r="B15" i="2"/>
  <c r="B22" i="2"/>
  <c r="B29" i="2"/>
  <c r="B16" i="2"/>
  <c r="C29" i="2"/>
  <c r="E29" i="2"/>
  <c r="C28" i="2"/>
  <c r="C33" i="2"/>
  <c r="D28" i="2"/>
  <c r="C32" i="2"/>
  <c r="C36" i="2"/>
  <c r="C35" i="2"/>
  <c r="C37" i="2"/>
  <c r="C38" i="2"/>
</calcChain>
</file>

<file path=xl/sharedStrings.xml><?xml version="1.0" encoding="utf-8"?>
<sst xmlns="http://schemas.openxmlformats.org/spreadsheetml/2006/main" count="69" uniqueCount="45">
  <si>
    <t>Emission curve coefficients</t>
  </si>
  <si>
    <t>Cars</t>
  </si>
  <si>
    <t>C1</t>
  </si>
  <si>
    <t>C0</t>
  </si>
  <si>
    <t>S0</t>
  </si>
  <si>
    <t>M. Trks</t>
  </si>
  <si>
    <t>H. Trks</t>
  </si>
  <si>
    <t>Hard</t>
  </si>
  <si>
    <t>Soft</t>
  </si>
  <si>
    <t>Code ground cover</t>
  </si>
  <si>
    <t>H for hard, S for soft</t>
  </si>
  <si>
    <t>Emission Level</t>
  </si>
  <si>
    <t>Vehicle Density</t>
  </si>
  <si>
    <t>Elemental Expectation and Variance</t>
  </si>
  <si>
    <t>E</t>
  </si>
  <si>
    <t>V</t>
  </si>
  <si>
    <t>Total Expectation</t>
  </si>
  <si>
    <t>Total Variance</t>
  </si>
  <si>
    <t>Sigma L</t>
  </si>
  <si>
    <t>L50</t>
  </si>
  <si>
    <t>Leq</t>
  </si>
  <si>
    <t>L10</t>
  </si>
  <si>
    <t>Result</t>
  </si>
  <si>
    <t>10D Constants</t>
  </si>
  <si>
    <t>Roadway 1</t>
  </si>
  <si>
    <t>Roadway 2</t>
  </si>
  <si>
    <t>Flat Earth Noise Level Estimating Tool</t>
  </si>
  <si>
    <t>Notes:</t>
  </si>
  <si>
    <t>Calculations based on roadway segments 10*D in length.</t>
  </si>
  <si>
    <t>Calculations based on a flat-earth approach.</t>
  </si>
  <si>
    <t>Calculations done for receiver distances from the roadways that are less than 50 feet, are done at risk.</t>
  </si>
  <si>
    <t>S</t>
  </si>
  <si>
    <t>Enter distance to Roadway 1</t>
  </si>
  <si>
    <t>Enter distance to Roadway 2</t>
  </si>
  <si>
    <t>Enter hourly Medium Trucks</t>
  </si>
  <si>
    <t>Enter speed of Medium Trucks</t>
  </si>
  <si>
    <t>Enter hourly Cars</t>
  </si>
  <si>
    <t>Enter speed of Heavy Trucks</t>
  </si>
  <si>
    <t>Peter Wasko MnDOT Metro District 651-234-7681 Peter.Wasko@state.mn.us</t>
  </si>
  <si>
    <t>Mel Roseen MnDOT Offfice of Env. Stewardship 651-366-5808 Melvin.Roseen@state.mn.us</t>
  </si>
  <si>
    <t>For information about the tool and assistance in using the tool contact:</t>
  </si>
  <si>
    <t>Do not modify anything on this page!</t>
  </si>
  <si>
    <t>Highlight cells are required to be filled out</t>
  </si>
  <si>
    <t>Enter speed of Cars (MPH)</t>
  </si>
  <si>
    <t>Enter hourly Heavy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</si>
</sst>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2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quotePrefix="1" applyAlignment="1">
      <alignment horizontal="lef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/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0" fillId="2" borderId="6" xfId="0" applyFill="1" applyBorder="1" applyAlignment="1">
      <alignment horizontal="center"/>
    </xf>
    <xf numFmtId="0" fontId="4" fillId="0" borderId="3" xfId="0" applyFont="1" applyBorder="1"/>
    <xf numFmtId="0" fontId="4" fillId="0" borderId="3" xfId="0" quotePrefix="1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H25" sqref="H25"/>
    </sheetView>
  </sheetViews>
  <sheetFormatPr defaultRowHeight="12.75" x14ac:dyDescent="0.2"/>
  <sheetData>
    <row r="1" spans="1:9" x14ac:dyDescent="0.2">
      <c r="A1" s="2" t="s">
        <v>26</v>
      </c>
    </row>
    <row r="3" spans="1:9" x14ac:dyDescent="0.2">
      <c r="A3" s="3" t="s">
        <v>24</v>
      </c>
      <c r="F3" s="3" t="s">
        <v>25</v>
      </c>
    </row>
    <row r="4" spans="1:9" x14ac:dyDescent="0.2">
      <c r="A4" s="7" t="s">
        <v>36</v>
      </c>
      <c r="B4" s="8"/>
      <c r="C4" s="8"/>
      <c r="D4" s="18">
        <v>1000</v>
      </c>
      <c r="F4" s="7" t="s">
        <v>36</v>
      </c>
      <c r="G4" s="8"/>
      <c r="H4" s="8"/>
      <c r="I4" s="18">
        <v>1000</v>
      </c>
    </row>
    <row r="5" spans="1:9" x14ac:dyDescent="0.2">
      <c r="A5" s="9" t="s">
        <v>34</v>
      </c>
      <c r="B5" s="8"/>
      <c r="C5" s="8"/>
      <c r="D5" s="18">
        <v>100</v>
      </c>
      <c r="F5" s="9" t="s">
        <v>34</v>
      </c>
      <c r="G5" s="8"/>
      <c r="H5" s="8"/>
      <c r="I5" s="18">
        <v>100</v>
      </c>
    </row>
    <row r="6" spans="1:9" x14ac:dyDescent="0.2">
      <c r="A6" s="7" t="s">
        <v>44</v>
      </c>
      <c r="B6" s="8"/>
      <c r="C6" s="8"/>
      <c r="D6" s="18">
        <v>10</v>
      </c>
      <c r="F6" s="7" t="s">
        <v>44</v>
      </c>
      <c r="G6" s="8"/>
      <c r="H6" s="8"/>
      <c r="I6" s="18">
        <v>10</v>
      </c>
    </row>
    <row r="7" spans="1:9" x14ac:dyDescent="0.2">
      <c r="A7" s="4"/>
      <c r="B7" s="4"/>
      <c r="C7" s="4"/>
      <c r="D7" s="10"/>
      <c r="I7" s="12"/>
    </row>
    <row r="8" spans="1:9" x14ac:dyDescent="0.2">
      <c r="A8" s="19" t="s">
        <v>43</v>
      </c>
      <c r="B8" s="8"/>
      <c r="C8" s="8"/>
      <c r="D8" s="18">
        <v>65</v>
      </c>
      <c r="F8" s="19" t="s">
        <v>43</v>
      </c>
      <c r="G8" s="8"/>
      <c r="H8" s="8"/>
      <c r="I8" s="18">
        <v>65</v>
      </c>
    </row>
    <row r="9" spans="1:9" x14ac:dyDescent="0.2">
      <c r="A9" s="9" t="s">
        <v>35</v>
      </c>
      <c r="B9" s="8"/>
      <c r="C9" s="8"/>
      <c r="D9" s="18">
        <v>65</v>
      </c>
      <c r="F9" s="9" t="s">
        <v>35</v>
      </c>
      <c r="G9" s="8"/>
      <c r="H9" s="8"/>
      <c r="I9" s="18">
        <v>65</v>
      </c>
    </row>
    <row r="10" spans="1:9" x14ac:dyDescent="0.2">
      <c r="A10" s="7" t="s">
        <v>37</v>
      </c>
      <c r="B10" s="8"/>
      <c r="C10" s="8"/>
      <c r="D10" s="18">
        <v>65</v>
      </c>
      <c r="F10" s="7" t="s">
        <v>37</v>
      </c>
      <c r="G10" s="8"/>
      <c r="H10" s="8"/>
      <c r="I10" s="18">
        <v>65</v>
      </c>
    </row>
    <row r="11" spans="1:9" x14ac:dyDescent="0.2">
      <c r="A11" s="6"/>
      <c r="B11" s="5"/>
      <c r="C11" s="5"/>
      <c r="D11" s="11"/>
    </row>
    <row r="12" spans="1:9" x14ac:dyDescent="0.2">
      <c r="A12" s="9" t="s">
        <v>32</v>
      </c>
      <c r="B12" s="8"/>
      <c r="C12" s="8"/>
      <c r="D12" s="18">
        <v>150</v>
      </c>
    </row>
    <row r="13" spans="1:9" x14ac:dyDescent="0.2">
      <c r="A13" s="9" t="s">
        <v>33</v>
      </c>
      <c r="B13" s="8"/>
      <c r="C13" s="8"/>
      <c r="D13" s="18">
        <v>210</v>
      </c>
    </row>
    <row r="15" spans="1:9" x14ac:dyDescent="0.2">
      <c r="A15" s="2" t="s">
        <v>9</v>
      </c>
    </row>
    <row r="16" spans="1:9" x14ac:dyDescent="0.2">
      <c r="A16" s="20" t="s">
        <v>10</v>
      </c>
      <c r="B16" s="8"/>
      <c r="C16" s="8"/>
      <c r="D16" s="18" t="s">
        <v>31</v>
      </c>
    </row>
    <row r="18" spans="1:4" x14ac:dyDescent="0.2">
      <c r="A18" s="2" t="s">
        <v>22</v>
      </c>
    </row>
    <row r="19" spans="1:4" x14ac:dyDescent="0.2">
      <c r="A19" s="13" t="s">
        <v>20</v>
      </c>
      <c r="B19" s="8"/>
      <c r="C19" s="8"/>
      <c r="D19" s="14">
        <f>Data!C36</f>
        <v>68.085254946200052</v>
      </c>
    </row>
    <row r="20" spans="1:4" x14ac:dyDescent="0.2">
      <c r="A20" s="21"/>
      <c r="B20" s="4"/>
      <c r="C20" s="4"/>
      <c r="D20" s="23"/>
    </row>
    <row r="21" spans="1:4" x14ac:dyDescent="0.2">
      <c r="A21" s="22"/>
      <c r="B21" s="5"/>
      <c r="C21" s="5"/>
      <c r="D21" s="24"/>
    </row>
    <row r="25" spans="1:4" x14ac:dyDescent="0.2">
      <c r="A25" s="2" t="s">
        <v>27</v>
      </c>
    </row>
    <row r="26" spans="1:4" x14ac:dyDescent="0.2">
      <c r="A26" s="17" t="s">
        <v>42</v>
      </c>
    </row>
    <row r="27" spans="1:4" x14ac:dyDescent="0.2">
      <c r="A27" s="1" t="s">
        <v>28</v>
      </c>
    </row>
    <row r="28" spans="1:4" x14ac:dyDescent="0.2">
      <c r="A28" s="1" t="s">
        <v>29</v>
      </c>
    </row>
    <row r="29" spans="1:4" x14ac:dyDescent="0.2">
      <c r="A29" s="1" t="s">
        <v>30</v>
      </c>
    </row>
    <row r="30" spans="1:4" x14ac:dyDescent="0.2">
      <c r="A30" s="1" t="s">
        <v>40</v>
      </c>
    </row>
    <row r="31" spans="1:4" x14ac:dyDescent="0.2">
      <c r="A31" s="15" t="s">
        <v>38</v>
      </c>
    </row>
    <row r="32" spans="1:4" x14ac:dyDescent="0.2">
      <c r="A32" s="15" t="s">
        <v>39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2" sqref="B2"/>
    </sheetView>
  </sheetViews>
  <sheetFormatPr defaultRowHeight="12.75" x14ac:dyDescent="0.2"/>
  <cols>
    <col min="2" max="2" width="11" customWidth="1"/>
    <col min="3" max="3" width="12.42578125" bestFit="1" customWidth="1"/>
    <col min="4" max="4" width="12" customWidth="1"/>
    <col min="5" max="5" width="12.42578125" bestFit="1" customWidth="1"/>
  </cols>
  <sheetData>
    <row r="1" spans="1:5" ht="54.75" customHeight="1" x14ac:dyDescent="0.5">
      <c r="A1" s="16" t="s">
        <v>41</v>
      </c>
    </row>
    <row r="2" spans="1:5" x14ac:dyDescent="0.2">
      <c r="A2" t="s">
        <v>0</v>
      </c>
    </row>
    <row r="3" spans="1:5" x14ac:dyDescent="0.2">
      <c r="C3" t="s">
        <v>2</v>
      </c>
      <c r="D3" t="s">
        <v>3</v>
      </c>
      <c r="E3" t="s">
        <v>4</v>
      </c>
    </row>
    <row r="4" spans="1:5" x14ac:dyDescent="0.2">
      <c r="A4" t="s">
        <v>1</v>
      </c>
      <c r="C4">
        <v>38.049999999999997</v>
      </c>
      <c r="D4">
        <v>4.8</v>
      </c>
      <c r="E4">
        <v>2.5</v>
      </c>
    </row>
    <row r="5" spans="1:5" x14ac:dyDescent="0.2">
      <c r="A5" t="s">
        <v>5</v>
      </c>
      <c r="C5">
        <v>33.909999999999997</v>
      </c>
      <c r="D5">
        <v>22.06</v>
      </c>
      <c r="E5">
        <v>3.37</v>
      </c>
    </row>
    <row r="6" spans="1:5" x14ac:dyDescent="0.2">
      <c r="A6" t="s">
        <v>6</v>
      </c>
      <c r="C6">
        <v>25.6</v>
      </c>
      <c r="D6">
        <v>38.799999999999997</v>
      </c>
      <c r="E6">
        <v>2.83</v>
      </c>
    </row>
    <row r="8" spans="1:5" x14ac:dyDescent="0.2">
      <c r="A8" t="s">
        <v>23</v>
      </c>
    </row>
    <row r="9" spans="1:5" x14ac:dyDescent="0.2">
      <c r="A9" t="s">
        <v>7</v>
      </c>
      <c r="B9" t="s">
        <v>8</v>
      </c>
    </row>
    <row r="10" spans="1:5" x14ac:dyDescent="0.2">
      <c r="A10">
        <v>2.7468015338900318</v>
      </c>
      <c r="B10">
        <v>2.2795078449224415</v>
      </c>
    </row>
    <row r="11" spans="1:5" x14ac:dyDescent="0.2">
      <c r="A11">
        <v>1.5657083752859231</v>
      </c>
      <c r="B11">
        <v>1.332583970468876</v>
      </c>
    </row>
    <row r="13" spans="1:5" x14ac:dyDescent="0.2">
      <c r="A13" t="s">
        <v>11</v>
      </c>
    </row>
    <row r="14" spans="1:5" x14ac:dyDescent="0.2">
      <c r="B14" t="s">
        <v>24</v>
      </c>
      <c r="C14" s="1" t="s">
        <v>25</v>
      </c>
    </row>
    <row r="15" spans="1:5" x14ac:dyDescent="0.2">
      <c r="A15" t="s">
        <v>1</v>
      </c>
      <c r="B15">
        <f>C4*LOG10(Tool!D8)+Data!D4+0.115*(Data!E4)^2</f>
        <v>74.500103220260641</v>
      </c>
      <c r="C15">
        <f>C4*LOG10(Tool!I8)+Data!D4+0.115*(Data!E4)^2</f>
        <v>74.500103220260641</v>
      </c>
    </row>
    <row r="16" spans="1:5" x14ac:dyDescent="0.2">
      <c r="A16" t="s">
        <v>5</v>
      </c>
      <c r="B16">
        <f>C5*LOG10(Tool!D9)+Data!D5+0.115*(Data!E5)^2</f>
        <v>84.841935423759224</v>
      </c>
      <c r="C16">
        <f>C5*LOG10(Tool!I9)+Data!D5+0.115*(Data!E5)^2</f>
        <v>84.841935423759224</v>
      </c>
    </row>
    <row r="17" spans="1:5" x14ac:dyDescent="0.2">
      <c r="A17" t="s">
        <v>6</v>
      </c>
      <c r="B17">
        <f>C6*LOG10(Tool!D10)+Data!D6+0.115*(Data!E6)^2</f>
        <v>86.131605430057107</v>
      </c>
      <c r="C17">
        <f>C6*LOG10(Tool!I10)+Data!D6+0.115*(Data!E6)^2</f>
        <v>86.131605430057107</v>
      </c>
    </row>
    <row r="19" spans="1:5" x14ac:dyDescent="0.2">
      <c r="A19" t="s">
        <v>12</v>
      </c>
    </row>
    <row r="20" spans="1:5" x14ac:dyDescent="0.2">
      <c r="B20" t="s">
        <v>24</v>
      </c>
      <c r="C20" s="1" t="s">
        <v>25</v>
      </c>
    </row>
    <row r="21" spans="1:5" x14ac:dyDescent="0.2">
      <c r="A21" t="s">
        <v>1</v>
      </c>
      <c r="B21">
        <f>Tool!D4/Tool!D8/5280</f>
        <v>2.913752913752914E-3</v>
      </c>
      <c r="C21">
        <f>Tool!I4/Tool!I8/5280</f>
        <v>2.913752913752914E-3</v>
      </c>
    </row>
    <row r="22" spans="1:5" x14ac:dyDescent="0.2">
      <c r="A22" t="s">
        <v>5</v>
      </c>
      <c r="B22">
        <f>Tool!D5/Tool!D9/5280</f>
        <v>2.9137529137529138E-4</v>
      </c>
      <c r="C22">
        <f>Tool!I5/Tool!I9/5280</f>
        <v>2.9137529137529138E-4</v>
      </c>
    </row>
    <row r="23" spans="1:5" x14ac:dyDescent="0.2">
      <c r="A23" t="s">
        <v>6</v>
      </c>
      <c r="B23">
        <f>Tool!D6/Tool!D10/5280</f>
        <v>2.9137529137529138E-5</v>
      </c>
      <c r="C23">
        <f>Tool!I6/Tool!I10/5280</f>
        <v>2.9137529137529138E-5</v>
      </c>
    </row>
    <row r="25" spans="1:5" x14ac:dyDescent="0.2">
      <c r="A25" t="s">
        <v>13</v>
      </c>
    </row>
    <row r="26" spans="1:5" x14ac:dyDescent="0.2">
      <c r="B26" t="s">
        <v>24</v>
      </c>
      <c r="D26" s="1" t="s">
        <v>25</v>
      </c>
    </row>
    <row r="27" spans="1:5" x14ac:dyDescent="0.2">
      <c r="B27" t="s">
        <v>14</v>
      </c>
      <c r="C27" t="s">
        <v>15</v>
      </c>
      <c r="D27" t="s">
        <v>14</v>
      </c>
      <c r="E27" t="s">
        <v>15</v>
      </c>
    </row>
    <row r="28" spans="1:5" x14ac:dyDescent="0.2">
      <c r="A28" t="s">
        <v>1</v>
      </c>
      <c r="B28">
        <f>B21*(IF(Tool!D$16="S",(50)^2.5,(50)^2))*(10^(Data!B15/10))*(IF(Tool!D$16="S",1/(Tool!D$12)^1.5,1/(Tool!D$12)))*(IF(Tool!D$16="S",Data!B$10,Data!A$10))</f>
        <v>1801325.7456697496</v>
      </c>
      <c r="C28">
        <f>B21*(IF(Tool!D$16="S",(50)^5,(50)^4))*((10^(Data!B15/10))^2)*(IF(Tool!D$16="S",1/(Tool!D$12)^4,1/(Tool!D$12)^3))*(IF(Tool!D$16="S",Data!B$11,Data!A$11))</f>
        <v>1903938584523.0295</v>
      </c>
      <c r="D28">
        <f>C21*(IF(Tool!D$16="S",(50)^2.5,(50)^2))*(10^(C15/10))*(IF(Tool!D$16="S",1/(Tool!D$13)^1.5,1/(Tool!D$13)))*(IF(Tool!D$16="S",Data!B$10,Data!A$10))</f>
        <v>1087427.2272177194</v>
      </c>
      <c r="E28">
        <f>C21*(IF(Tool!D$16="S",(50)^5,(50)^4))*((10^(Data!C15/10))^2)*(IF(Tool!D$16="S",1/(Tool!D$13)^4,1/(Tool!D$13)^3))*(IF(Tool!D$16="S",Data!B$11,Data!A$11))</f>
        <v>495610835204.8703</v>
      </c>
    </row>
    <row r="29" spans="1:5" x14ac:dyDescent="0.2">
      <c r="A29" t="s">
        <v>5</v>
      </c>
      <c r="B29">
        <f>B22*(IF(Tool!D$16="S",(50)^2.5,(50)^2))*(10^(Data!B16/10))*(IF(Tool!D$16="S",1/(Tool!D$12)^1.5,1/(Tool!D$12)))*(IF(Tool!D$16="S",Data!B$10,Data!A$10))</f>
        <v>1948836.821456745</v>
      </c>
      <c r="C29">
        <f>B22*(IF(Tool!D$16="S",(50)^5,(50)^4))*((10^(Data!B16/10))^2)*(IF(Tool!D$16="S",1/(Tool!D$12)^4,1/(Tool!D$12)^3))*(IF(Tool!D$16="S",Data!B$11,Data!A$11))</f>
        <v>22285345723990.301</v>
      </c>
      <c r="D29">
        <f>C22*(IF(Tool!D$16="S",(50)^2.5,(50)^2))*(10^(C16/10))*(IF(Tool!D$16="S",1/(Tool!D$13)^1.5,1/(Tool!D$13)))*(IF(Tool!D$16="S",Data!B$10,Data!A$10))</f>
        <v>1176476.9510184051</v>
      </c>
      <c r="E29">
        <f>C22*(IF(Tool!D$16="S",(50)^5,(50)^4))*((10^(Data!C16/10))^2)*(IF(Tool!D$16="S",1/(Tool!D$13)^4,1/(Tool!D$13)^3))*(IF(Tool!D$16="S",Data!B$11,Data!A$11))</f>
        <v>5801058341313.5937</v>
      </c>
    </row>
    <row r="30" spans="1:5" x14ac:dyDescent="0.2">
      <c r="A30" t="s">
        <v>6</v>
      </c>
      <c r="B30">
        <f>B23*(IF(Tool!D$16="S",(50)^2.5,(50)^2))*(10^(Data!B17/10))*(IF(Tool!D$16="S",1/(Tool!D$12)^1.5,1/(Tool!D$12)))*(IF(Tool!D$16="S",Data!B$10,Data!A$10))</f>
        <v>262266.29269045795</v>
      </c>
      <c r="C30">
        <f>B23*(IF(Tool!D$16="S",(50)^5,(50)^4))*((10^(Data!B17/10))^2)*(IF(Tool!D$16="S",1/(Tool!D$12)^4,1/(Tool!D$12)^3))*(IF(Tool!D$16="S",Data!B$11,Data!A$11))</f>
        <v>4036020627332.6675</v>
      </c>
      <c r="D30">
        <f>C23*(IF(Tool!D$16="S",(50)^2.5,(50)^2))*(10^(C17/10))*(IF(Tool!D$16="S",1/(Tool!D$13)^1.5,1/(Tool!D$13)))*(IF(Tool!D$16="S",Data!B$10,Data!A$10))</f>
        <v>158325.3379565822</v>
      </c>
      <c r="E30">
        <f>C23*(IF(Tool!D$16="S",(50)^5,(50)^4))*(10^((Data!C17+0.115*E6^2)/10))^2*(IF(Tool!D$16="S",1/(Tool!D$13)^4,1/(Tool!D$13)^3))*(IF(Tool!D$16="S",Data!B$11,Data!A$11))</f>
        <v>1605631702256.4646</v>
      </c>
    </row>
    <row r="32" spans="1:5" x14ac:dyDescent="0.2">
      <c r="A32" t="s">
        <v>16</v>
      </c>
      <c r="C32">
        <f>SUM(B28:B30)+SUM(D28:D30)</f>
        <v>6434658.3760096598</v>
      </c>
    </row>
    <row r="33" spans="1:3" x14ac:dyDescent="0.2">
      <c r="A33" t="s">
        <v>17</v>
      </c>
      <c r="C33">
        <f>SUM(C28:C30)+SUM(E28:E30)</f>
        <v>36127605814620.93</v>
      </c>
    </row>
    <row r="35" spans="1:3" x14ac:dyDescent="0.2">
      <c r="A35" t="s">
        <v>18</v>
      </c>
      <c r="C35">
        <f>(10/LN(10))*SQRT(LN(1+(C33/(C32)^2)))</f>
        <v>3.439707852677675</v>
      </c>
    </row>
    <row r="36" spans="1:3" x14ac:dyDescent="0.2">
      <c r="A36" t="s">
        <v>20</v>
      </c>
      <c r="C36">
        <f>10*LOG10(C32)</f>
        <v>68.085254946200052</v>
      </c>
    </row>
    <row r="37" spans="1:3" x14ac:dyDescent="0.2">
      <c r="A37" t="s">
        <v>19</v>
      </c>
      <c r="C37">
        <f>C36-(C35)^2/8.7</f>
        <v>66.725302059789428</v>
      </c>
    </row>
    <row r="38" spans="1:3" x14ac:dyDescent="0.2">
      <c r="A38" t="s">
        <v>21</v>
      </c>
      <c r="C38">
        <f>C37+1.25*C35</f>
        <v>71.024936875636527</v>
      </c>
    </row>
  </sheetData>
  <sheetProtection selectLockedCells="1" selectUnlockedCells="1"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Tool</vt:lpstr>
      <vt:lpstr>Data</vt:lpstr>
    </vt:vector>
  </TitlesOfParts>
  <Company>MNDOT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Micheal Foley</cp:lastModifiedBy>
  <cp:lastPrinted>2017-10-09T18:32:57Z</cp:lastPrinted>
  <dcterms:created xsi:type="dcterms:W3CDTF">2009-07-01T18:56:34Z</dcterms:created>
  <dcterms:modified xsi:type="dcterms:W3CDTF">2018-12-27T17:29:27Z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